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20" tabRatio="697" activeTab="0"/>
  </bookViews>
  <sheets>
    <sheet name="SAISIE" sheetId="1" r:id="rId1"/>
    <sheet name="BULLETIN DE SALAIRE" sheetId="2" r:id="rId2"/>
    <sheet name="PRIMES" sheetId="3" r:id="rId3"/>
    <sheet name="INDICE" sheetId="4" r:id="rId4"/>
    <sheet name="TABLE" sheetId="5" r:id="rId5"/>
  </sheets>
  <definedNames>
    <definedName name="acfIPdeux">'PRIMES'!$E$34:$F$40</definedName>
    <definedName name="acfIPun">'PRIMES'!$E$29:$F$31</definedName>
    <definedName name="encadrement">'PRIMES'!$A$29:$B$40</definedName>
    <definedName name="grade">'TABLE'!$A$3:$B$8</definedName>
    <definedName name="indice">#REF!</definedName>
    <definedName name="Inspecteur">'TABLE'!$D$3:$E$14</definedName>
    <definedName name="IPdeux">'TABLE'!$G$3:$H$9</definedName>
    <definedName name="IPun">'TABLE'!$G$12:$H$14</definedName>
    <definedName name="plafond">'INDICE'!$G$3</definedName>
    <definedName name="plancher">'INDICE'!$G$2</definedName>
    <definedName name="point">'INDICE'!$C$2</definedName>
    <definedName name="quotité">'TABLE'!$A$20:$B$25</definedName>
    <definedName name="rendement">'PRIMES'!$A$11:$B$22</definedName>
    <definedName name="RP">'TABLE'!$D$17:$E$18</definedName>
    <definedName name="SFT_Indice">'INDICE'!$F$19:$G$29</definedName>
    <definedName name="SFT_Plafond">'INDICE'!$F$32:$G$42</definedName>
    <definedName name="SFT_Plancher">'INDICE'!$F$6:$G$16</definedName>
    <definedName name="temps_partiel">'TABLE'!$A$12:$B$17</definedName>
    <definedName name="TP">'TABLE'!$D$21:$E$22</definedName>
  </definedNames>
  <calcPr fullCalcOnLoad="1"/>
</workbook>
</file>

<file path=xl/comments1.xml><?xml version="1.0" encoding="utf-8"?>
<comments xmlns="http://schemas.openxmlformats.org/spreadsheetml/2006/main">
  <authors>
    <author>Tresor Public</author>
  </authors>
  <commentList>
    <comment ref="B9" authorId="0">
      <text>
        <r>
          <rPr>
            <b/>
            <sz val="8"/>
            <color indexed="12"/>
            <rFont val="Tahoma"/>
            <family val="2"/>
          </rPr>
          <t>Si droit à NBI, saisir le nombre de points attribués</t>
        </r>
      </text>
    </comment>
    <comment ref="B7" authorId="0">
      <text>
        <r>
          <rPr>
            <b/>
            <sz val="8"/>
            <color indexed="12"/>
            <rFont val="Tahoma"/>
            <family val="2"/>
          </rPr>
          <t xml:space="preserve">Pas d'IR : 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IR = 1% :</t>
        </r>
        <r>
          <rPr>
            <b/>
            <sz val="8"/>
            <rFont val="Tahoma"/>
            <family val="0"/>
          </rPr>
          <t xml:space="preserve"> 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IR = 3% :</t>
        </r>
        <r>
          <rPr>
            <b/>
            <sz val="8"/>
            <rFont val="Tahoma"/>
            <family val="0"/>
          </rPr>
          <t xml:space="preserve">  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color indexed="12"/>
            <rFont val="Tahoma"/>
            <family val="2"/>
          </rPr>
          <t xml:space="preserve">Inspecteur : </t>
        </r>
        <r>
          <rPr>
            <b/>
            <sz val="8"/>
            <color indexed="10"/>
            <rFont val="Tahoma"/>
            <family val="2"/>
          </rPr>
          <t xml:space="preserve"> 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R.P 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T.P 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3
</t>
        </r>
        <r>
          <rPr>
            <b/>
            <sz val="8"/>
            <color indexed="12"/>
            <rFont val="Tahoma"/>
            <family val="2"/>
          </rPr>
          <t xml:space="preserve">T.P.1 : </t>
        </r>
        <r>
          <rPr>
            <b/>
            <sz val="8"/>
            <color indexed="10"/>
            <rFont val="Tahoma"/>
            <family val="2"/>
          </rPr>
          <t xml:space="preserve"> 4
</t>
        </r>
        <r>
          <rPr>
            <b/>
            <sz val="8"/>
            <color indexed="12"/>
            <rFont val="Tahoma"/>
            <family val="2"/>
          </rPr>
          <t>I.P.2 :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5
</t>
        </r>
        <r>
          <rPr>
            <b/>
            <sz val="8"/>
            <color indexed="12"/>
            <rFont val="Tahoma"/>
            <family val="2"/>
          </rPr>
          <t xml:space="preserve">I.P.1 : </t>
        </r>
        <r>
          <rPr>
            <b/>
            <sz val="8"/>
            <color indexed="10"/>
            <rFont val="Tahoma"/>
            <family val="2"/>
          </rPr>
          <t xml:space="preserve"> 6</t>
        </r>
      </text>
    </comment>
    <comment ref="B8" authorId="0">
      <text>
        <r>
          <rPr>
            <b/>
            <sz val="8"/>
            <color indexed="12"/>
            <rFont val="Tahoma"/>
            <family val="2"/>
          </rPr>
          <t>Nombre d'enfants à charge de  - de 20 ans.</t>
        </r>
      </text>
    </comment>
    <comment ref="B12" authorId="0">
      <text>
        <r>
          <rPr>
            <b/>
            <u val="single"/>
            <sz val="8"/>
            <color indexed="12"/>
            <rFont val="Tahoma"/>
            <family val="2"/>
          </rPr>
          <t xml:space="preserve">COTISATION MUTUELLE
</t>
        </r>
        <r>
          <rPr>
            <b/>
            <sz val="8"/>
            <color indexed="12"/>
            <rFont val="Tahoma"/>
            <family val="2"/>
          </rPr>
          <t>Indiquer le montant total des cotisations "mutuelle", y compris la branche générale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u val="single"/>
            <sz val="8"/>
            <color indexed="12"/>
            <rFont val="Tahoma"/>
            <family val="2"/>
          </rPr>
          <t>Temps de travail :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100%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90%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80%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3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70% :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60%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50% :</t>
        </r>
        <r>
          <rPr>
            <b/>
            <sz val="8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6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Saisir échelon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12"/>
            <rFont val="Tahoma"/>
            <family val="2"/>
          </rPr>
          <t>Saisir le montant total des diverses retenues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<sst xmlns="http://schemas.openxmlformats.org/spreadsheetml/2006/main" count="94" uniqueCount="72">
  <si>
    <t>TEMPS PARTIEL:</t>
  </si>
  <si>
    <t>SALAIRE BRUT:</t>
  </si>
  <si>
    <t>SFT:</t>
  </si>
  <si>
    <t>PENSION CIVILE (7,85%)</t>
  </si>
  <si>
    <t>PENSION CIVILE NBI (7,85%)</t>
  </si>
  <si>
    <t>TOTAL A:</t>
  </si>
  <si>
    <t>TOTAL B:</t>
  </si>
  <si>
    <t>CSG (2,4%)</t>
  </si>
  <si>
    <t>ENFANTS:</t>
  </si>
  <si>
    <t>CSG (5,1%)</t>
  </si>
  <si>
    <t>RDS (0,5%)</t>
  </si>
  <si>
    <t>CONT. SOLIDARITE (1%)</t>
  </si>
  <si>
    <t>INDEMNITE RESIDENCE</t>
  </si>
  <si>
    <t>NBI:</t>
  </si>
  <si>
    <t>TOTAL C:</t>
  </si>
  <si>
    <t>MUTUELLE</t>
  </si>
  <si>
    <t>TOTAL D:</t>
  </si>
  <si>
    <t>TOTAL NET:</t>
  </si>
  <si>
    <t>MUTUELLE:</t>
  </si>
  <si>
    <t>PRIME RENDEMENT :</t>
  </si>
  <si>
    <t>MONTANT IMPOSABLE:</t>
  </si>
  <si>
    <t>VALEUR DU POINT AU 01/12/2002:</t>
  </si>
  <si>
    <t>GRADE</t>
  </si>
  <si>
    <t>ECHELON:</t>
  </si>
  <si>
    <t>IND. 321 (IMT):</t>
  </si>
  <si>
    <t>IND. RESIDENCE:</t>
  </si>
  <si>
    <t>GRADE:</t>
  </si>
  <si>
    <t>INDICE  :</t>
  </si>
  <si>
    <t>IMT  ( Ind. 321 ):</t>
  </si>
  <si>
    <t>cotisation PC IMT</t>
  </si>
  <si>
    <t>PRIME DE RENDEMENT</t>
  </si>
  <si>
    <t>PENSION CIVILE IMT</t>
  </si>
  <si>
    <t>TOTAL C+D+E:</t>
  </si>
  <si>
    <t>SAISIE DES ELEMENTS DE CALCUL DU SALAIRE</t>
  </si>
  <si>
    <t>DIVERS</t>
  </si>
  <si>
    <t>DIVERS ( Tickets, Parking, etc..)</t>
  </si>
  <si>
    <t>grade</t>
  </si>
  <si>
    <t>temps partiel</t>
  </si>
  <si>
    <t>quotité</t>
  </si>
  <si>
    <t>100%</t>
  </si>
  <si>
    <t>90%</t>
  </si>
  <si>
    <t>80%</t>
  </si>
  <si>
    <t>70%</t>
  </si>
  <si>
    <t>60%</t>
  </si>
  <si>
    <t>50%</t>
  </si>
  <si>
    <t>Indice plancher SFT :</t>
  </si>
  <si>
    <t>SFT-Plancher</t>
  </si>
  <si>
    <t>SFT-Indice</t>
  </si>
  <si>
    <t>RP</t>
  </si>
  <si>
    <t>TP</t>
  </si>
  <si>
    <t>Insp.</t>
  </si>
  <si>
    <t>Inspecteur</t>
  </si>
  <si>
    <t>Indice plafond SFT :</t>
  </si>
  <si>
    <t>SFT-Plafond</t>
  </si>
  <si>
    <t>ACF Encadrement:</t>
  </si>
  <si>
    <t>ACF Encadrement</t>
  </si>
  <si>
    <t>VALEUR DU POINT AU 01/01/2004:</t>
  </si>
  <si>
    <t>TP1</t>
  </si>
  <si>
    <t>mensuel</t>
  </si>
  <si>
    <t>annuel</t>
  </si>
  <si>
    <t>majoration</t>
  </si>
  <si>
    <t>VALEUR DU POINT AU 01/02/2005:</t>
  </si>
  <si>
    <t>Régime Additionnel F.P.</t>
  </si>
  <si>
    <t>IP2</t>
  </si>
  <si>
    <t>IP1</t>
  </si>
  <si>
    <t>VALEUR DU POINT AU 01/07/2005:</t>
  </si>
  <si>
    <t>R P</t>
  </si>
  <si>
    <t>T P</t>
  </si>
  <si>
    <t>TP 1</t>
  </si>
  <si>
    <t>IP 2</t>
  </si>
  <si>
    <t>IP 1</t>
  </si>
  <si>
    <t>BULLETIN DE SALAIRE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</si>
</sst>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00000000000"/>
    <numFmt numFmtId="173" formatCode="#,##0.00000"/>
    <numFmt numFmtId="174" formatCode="0.00000%"/>
    <numFmt numFmtId="175" formatCode="#,##0.00\ _F"/>
    <numFmt numFmtId="176" formatCode="0.00000"/>
    <numFmt numFmtId="177" formatCode="#,##0_ ;[Red]\-#,##0\ "/>
    <numFmt numFmtId="178" formatCode="#,##0.00_ ;[Red]\-#,##0.00\ "/>
    <numFmt numFmtId="179" formatCode="#,##0.0"/>
    <numFmt numFmtId="180" formatCode="#,##0.000"/>
    <numFmt numFmtId="181" formatCode="#,##0.0000"/>
    <numFmt numFmtId="182" formatCode="0.000"/>
    <numFmt numFmtId="183" formatCode="0.0000"/>
    <numFmt numFmtId="184" formatCode="0.000000"/>
    <numFmt numFmtId="185" formatCode="#,##0.00\ &quot;€&quot;"/>
    <numFmt numFmtId="186" formatCode="0.0000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color indexed="10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sz val="10"/>
      <name val="Bookman Old Style"/>
      <family val="1"/>
    </font>
    <font>
      <b/>
      <u val="single"/>
      <sz val="9"/>
      <color indexed="12"/>
      <name val="Bookman Old Style"/>
      <family val="1"/>
    </font>
    <font>
      <u val="single"/>
      <sz val="10"/>
      <color indexed="12"/>
      <name val="Bookman Old Style"/>
      <family val="1"/>
    </font>
    <font>
      <sz val="10"/>
      <color indexed="12"/>
      <name val="Bookman Old Style"/>
      <family val="1"/>
    </font>
    <font>
      <b/>
      <sz val="9"/>
      <color indexed="12"/>
      <name val="Bookman Old Style"/>
      <family val="1"/>
    </font>
    <font>
      <b/>
      <i/>
      <u val="single"/>
      <sz val="10"/>
      <color indexed="12"/>
      <name val="Bookman Old Style"/>
      <family val="1"/>
    </font>
    <font>
      <b/>
      <sz val="9"/>
      <name val="Bookman Old Style"/>
      <family val="1"/>
    </font>
    <font>
      <b/>
      <u val="single"/>
      <sz val="8"/>
      <color indexed="12"/>
      <name val="Bookman Old Style"/>
      <family val="1"/>
    </font>
    <font>
      <b/>
      <u val="single"/>
      <sz val="12"/>
      <color indexed="12"/>
      <name val="Bookman Old Style"/>
      <family val="1"/>
    </font>
    <font>
      <u val="single"/>
      <sz val="10"/>
      <name val="Bookman Old Style"/>
      <family val="1"/>
    </font>
    <font>
      <b/>
      <sz val="11"/>
      <color indexed="53"/>
      <name val="Arial Baltic"/>
      <family val="2"/>
    </font>
    <font>
      <b/>
      <sz val="10"/>
      <color indexed="53"/>
      <name val="Arial Baltic"/>
      <family val="2"/>
    </font>
    <font>
      <sz val="10"/>
      <color indexed="53"/>
      <name val="Arial Baltic"/>
      <family val="2"/>
    </font>
    <font>
      <sz val="10"/>
      <name val="Arial Baltic"/>
      <family val="2"/>
    </font>
    <font>
      <b/>
      <sz val="12"/>
      <color indexed="53"/>
      <name val="Arial Baltic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84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/>
    </xf>
    <xf numFmtId="176" fontId="0" fillId="0" borderId="4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17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176" fontId="22" fillId="4" borderId="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4" fontId="0" fillId="0" borderId="15" xfId="0" applyNumberFormat="1" applyBorder="1" applyAlignment="1">
      <alignment/>
    </xf>
    <xf numFmtId="4" fontId="23" fillId="0" borderId="15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9" fillId="2" borderId="12" xfId="0" applyFont="1" applyFill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31" fillId="2" borderId="12" xfId="0" applyFont="1" applyFill="1" applyBorder="1" applyAlignment="1">
      <alignment horizontal="right"/>
    </xf>
    <xf numFmtId="0" fontId="24" fillId="0" borderId="16" xfId="0" applyFont="1" applyBorder="1" applyAlignment="1">
      <alignment/>
    </xf>
    <xf numFmtId="0" fontId="24" fillId="0" borderId="0" xfId="0" applyFont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4" fontId="34" fillId="0" borderId="15" xfId="0" applyNumberFormat="1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/>
    </xf>
    <xf numFmtId="0" fontId="35" fillId="0" borderId="15" xfId="0" applyNumberFormat="1" applyFont="1" applyFill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4" fontId="35" fillId="2" borderId="15" xfId="0" applyNumberFormat="1" applyFont="1" applyFill="1" applyBorder="1" applyAlignment="1">
      <alignment horizontal="center"/>
    </xf>
    <xf numFmtId="4" fontId="36" fillId="0" borderId="18" xfId="0" applyNumberFormat="1" applyFont="1" applyBorder="1" applyAlignment="1">
      <alignment/>
    </xf>
    <xf numFmtId="3" fontId="37" fillId="0" borderId="19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 horizontal="center"/>
    </xf>
    <xf numFmtId="4" fontId="38" fillId="5" borderId="20" xfId="0" applyNumberFormat="1" applyFont="1" applyFill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4" fontId="3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27.00390625" style="17" customWidth="1"/>
    <col min="2" max="16384" width="11.421875" style="17" customWidth="1"/>
  </cols>
  <sheetData>
    <row r="1" spans="1:6" ht="15.75">
      <c r="A1" s="43" t="s">
        <v>33</v>
      </c>
      <c r="B1" s="44"/>
      <c r="C1" s="44"/>
      <c r="D1" s="44"/>
      <c r="E1" s="70"/>
      <c r="F1" s="71"/>
    </row>
    <row r="2" spans="1:6" ht="13.5" thickBot="1">
      <c r="A2" s="72"/>
      <c r="B2" s="63"/>
      <c r="C2" s="63"/>
      <c r="D2" s="63"/>
      <c r="E2" s="63"/>
      <c r="F2" s="65"/>
    </row>
    <row r="3" spans="1:6" ht="19.5" customHeight="1" thickBot="1">
      <c r="A3" s="45" t="s">
        <v>22</v>
      </c>
      <c r="B3" s="51">
        <v>4</v>
      </c>
      <c r="C3" s="63"/>
      <c r="D3" s="63"/>
      <c r="E3" s="48" t="str">
        <f>LOOKUP(B3,grade)</f>
        <v>TP 1</v>
      </c>
      <c r="F3" s="65"/>
    </row>
    <row r="4" spans="1:6" ht="19.5" customHeight="1" thickBot="1">
      <c r="A4" s="68"/>
      <c r="B4" s="63"/>
      <c r="C4" s="63"/>
      <c r="D4" s="63"/>
      <c r="E4" s="63"/>
      <c r="F4" s="65"/>
    </row>
    <row r="5" spans="1:6" ht="19.5" customHeight="1" thickBot="1">
      <c r="A5" s="45" t="s">
        <v>23</v>
      </c>
      <c r="B5" s="52">
        <v>1</v>
      </c>
      <c r="C5" s="63"/>
      <c r="D5" s="63"/>
      <c r="E5" s="47" t="s">
        <v>27</v>
      </c>
      <c r="F5" s="49">
        <f>IF(B3=4,797,IF(B3=3,733,IF(B3=2,LOOKUP(B5,RP),IF(B3=5,LOOKUP(B5,IPdeux),IF(B3=6,LOOKUP(B5,IPun),LOOKUP(B5,Inspecteur))))))</f>
        <v>797</v>
      </c>
    </row>
    <row r="6" spans="1:6" ht="19.5" customHeight="1">
      <c r="A6" s="68"/>
      <c r="B6" s="63"/>
      <c r="C6" s="63"/>
      <c r="D6" s="63"/>
      <c r="E6" s="63"/>
      <c r="F6" s="65"/>
    </row>
    <row r="7" spans="1:6" ht="19.5" customHeight="1">
      <c r="A7" s="46" t="s">
        <v>12</v>
      </c>
      <c r="B7" s="53">
        <v>0</v>
      </c>
      <c r="C7" s="63"/>
      <c r="D7" s="63"/>
      <c r="E7" s="63"/>
      <c r="F7" s="65"/>
    </row>
    <row r="8" spans="1:6" ht="19.5" customHeight="1">
      <c r="A8" s="46" t="s">
        <v>8</v>
      </c>
      <c r="B8" s="53">
        <v>0</v>
      </c>
      <c r="C8" s="63"/>
      <c r="D8" s="63"/>
      <c r="E8" s="63"/>
      <c r="F8" s="65"/>
    </row>
    <row r="9" spans="1:6" ht="19.5" customHeight="1">
      <c r="A9" s="46" t="s">
        <v>13</v>
      </c>
      <c r="B9" s="53">
        <v>0</v>
      </c>
      <c r="C9" s="63"/>
      <c r="D9" s="63"/>
      <c r="E9" s="63"/>
      <c r="F9" s="65"/>
    </row>
    <row r="10" spans="1:6" ht="19.5" customHeight="1">
      <c r="A10" s="46" t="s">
        <v>0</v>
      </c>
      <c r="B10" s="54">
        <v>1</v>
      </c>
      <c r="C10" s="69">
        <f>LOOKUP(B10,temps_partiel)</f>
        <v>1</v>
      </c>
      <c r="D10" s="63"/>
      <c r="E10" s="50" t="str">
        <f>LOOKUP(B10,quotité)</f>
        <v>100%</v>
      </c>
      <c r="F10" s="65"/>
    </row>
    <row r="11" spans="1:6" ht="19.5" customHeight="1">
      <c r="A11" s="66"/>
      <c r="B11" s="67"/>
      <c r="C11" s="62"/>
      <c r="D11" s="63"/>
      <c r="E11" s="64"/>
      <c r="F11" s="65"/>
    </row>
    <row r="12" spans="1:6" ht="19.5" customHeight="1">
      <c r="A12" s="46" t="s">
        <v>18</v>
      </c>
      <c r="B12" s="55"/>
      <c r="C12" s="63"/>
      <c r="D12" s="63"/>
      <c r="E12" s="63"/>
      <c r="F12" s="65"/>
    </row>
    <row r="13" spans="1:6" ht="19.5" customHeight="1">
      <c r="A13" s="46" t="s">
        <v>35</v>
      </c>
      <c r="B13" s="55"/>
      <c r="C13" s="63"/>
      <c r="D13" s="63"/>
      <c r="E13" s="63"/>
      <c r="F13" s="65"/>
    </row>
    <row r="14" spans="1:6" ht="19.5" customHeight="1">
      <c r="A14" s="56"/>
      <c r="B14" s="57"/>
      <c r="C14" s="57"/>
      <c r="D14" s="57"/>
      <c r="E14" s="57"/>
      <c r="F14" s="58"/>
    </row>
    <row r="15" spans="1:6" ht="19.5" customHeight="1">
      <c r="A15" s="56"/>
      <c r="B15" s="57"/>
      <c r="C15" s="57"/>
      <c r="D15" s="57"/>
      <c r="E15" s="57"/>
      <c r="F15" s="58"/>
    </row>
    <row r="16" spans="1:6" ht="12.75">
      <c r="A16" s="56"/>
      <c r="B16" s="57"/>
      <c r="C16" s="57"/>
      <c r="D16" s="57"/>
      <c r="E16" s="57"/>
      <c r="F16" s="58"/>
    </row>
    <row r="17" spans="1:6" ht="12.75">
      <c r="A17" s="56"/>
      <c r="B17" s="57"/>
      <c r="C17" s="57"/>
      <c r="D17" s="57"/>
      <c r="E17" s="57"/>
      <c r="F17" s="58"/>
    </row>
    <row r="18" spans="1:6" ht="13.5" thickBot="1">
      <c r="A18" s="59"/>
      <c r="B18" s="60"/>
      <c r="C18" s="60"/>
      <c r="D18" s="60"/>
      <c r="E18" s="60"/>
      <c r="F18" s="61"/>
    </row>
  </sheetData>
  <mergeCells count="1">
    <mergeCell ref="A1:D1"/>
  </mergeCells>
  <dataValidations count="6">
    <dataValidation type="whole" allowBlank="1" showInputMessage="1" showErrorMessage="1" sqref="B3">
      <formula1>1</formula1>
      <formula2>6</formula2>
    </dataValidation>
    <dataValidation type="whole" allowBlank="1" showInputMessage="1" showErrorMessage="1" sqref="B5">
      <formula1>1</formula1>
      <formula2>12</formula2>
    </dataValidation>
    <dataValidation type="whole" allowBlank="1" showInputMessage="1" showErrorMessage="1" sqref="B7">
      <formula1>0</formula1>
      <formula2>2</formula2>
    </dataValidation>
    <dataValidation type="whole" allowBlank="1" showInputMessage="1" showErrorMessage="1" sqref="B8">
      <formula1>0</formula1>
      <formula2>10</formula2>
    </dataValidation>
    <dataValidation type="whole" allowBlank="1" showInputMessage="1" showErrorMessage="1" sqref="B9">
      <formula1>0</formula1>
      <formula2>40</formula2>
    </dataValidation>
    <dataValidation type="whole" allowBlank="1" showInputMessage="1" showErrorMessage="1" sqref="B10">
      <formula1>1</formula1>
      <formula2>6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B18" sqref="B18"/>
    </sheetView>
  </sheetViews>
  <sheetFormatPr defaultColWidth="11.421875" defaultRowHeight="12.75"/>
  <cols>
    <col min="1" max="1" width="20.7109375" style="85" customWidth="1"/>
    <col min="2" max="2" width="15.7109375" style="2" customWidth="1"/>
    <col min="3" max="3" width="25.7109375" style="85" customWidth="1"/>
    <col min="4" max="4" width="20.7109375" style="112" customWidth="1"/>
  </cols>
  <sheetData>
    <row r="1" spans="1:4" ht="17.25" thickBot="1">
      <c r="A1" s="75"/>
      <c r="B1" s="86" t="s">
        <v>71</v>
      </c>
      <c r="C1" s="87"/>
      <c r="D1" s="108"/>
    </row>
    <row r="2" spans="1:4" ht="15">
      <c r="A2" s="76"/>
      <c r="B2" s="73"/>
      <c r="C2" s="88"/>
      <c r="D2" s="109"/>
    </row>
    <row r="3" spans="1:4" ht="15">
      <c r="A3" s="76"/>
      <c r="B3" s="74"/>
      <c r="C3" s="88"/>
      <c r="D3" s="109"/>
    </row>
    <row r="4" spans="1:4" ht="15.75">
      <c r="A4" s="77" t="s">
        <v>26</v>
      </c>
      <c r="B4" s="100" t="str">
        <f>SAISIE!E3</f>
        <v>TP 1</v>
      </c>
      <c r="C4" s="88"/>
      <c r="D4" s="109"/>
    </row>
    <row r="5" spans="1:4" ht="15.75">
      <c r="A5" s="77" t="s">
        <v>23</v>
      </c>
      <c r="B5" s="101">
        <f>SAISIE!B5</f>
        <v>1</v>
      </c>
      <c r="C5" s="89" t="s">
        <v>17</v>
      </c>
      <c r="D5" s="110">
        <f>B27-D38</f>
        <v>4060.5199999999995</v>
      </c>
    </row>
    <row r="6" spans="1:4" ht="15">
      <c r="A6" s="77" t="s">
        <v>27</v>
      </c>
      <c r="B6" s="102">
        <f>SAISIE!F5</f>
        <v>797</v>
      </c>
      <c r="C6" s="90"/>
      <c r="D6" s="111"/>
    </row>
    <row r="7" spans="1:4" ht="15">
      <c r="A7" s="78"/>
      <c r="B7" s="103"/>
      <c r="C7" s="91"/>
      <c r="D7" s="103"/>
    </row>
    <row r="8" spans="1:4" ht="15">
      <c r="A8" s="79"/>
      <c r="B8" s="103"/>
      <c r="C8" s="92"/>
      <c r="D8" s="103"/>
    </row>
    <row r="9" spans="1:4" ht="15">
      <c r="A9" s="79"/>
      <c r="B9" s="103"/>
      <c r="C9" s="92"/>
      <c r="D9" s="103"/>
    </row>
    <row r="10" spans="1:4" ht="12.75">
      <c r="A10" s="80" t="s">
        <v>1</v>
      </c>
      <c r="B10" s="104">
        <f>ROUNDDOWN((SAISIE!F5*point)*SAISIE!C10,2)</f>
        <v>3538.99</v>
      </c>
      <c r="C10" s="93" t="s">
        <v>3</v>
      </c>
      <c r="D10" s="104">
        <f>ROUNDDOWN(B10*7.85/100,2)</f>
        <v>277.81</v>
      </c>
    </row>
    <row r="11" spans="1:4" ht="15">
      <c r="A11" s="79"/>
      <c r="B11" s="103"/>
      <c r="C11" s="94"/>
      <c r="D11" s="104"/>
    </row>
    <row r="12" spans="1:4" ht="12.75">
      <c r="A12" s="80" t="s">
        <v>13</v>
      </c>
      <c r="B12" s="104">
        <f>ROUNDDOWN((point*SAISIE!B9)*SAISIE!C10,2)</f>
        <v>0</v>
      </c>
      <c r="C12" s="93" t="s">
        <v>4</v>
      </c>
      <c r="D12" s="104">
        <f>ROUNDDOWN(B12*7.85/100,2)</f>
        <v>0</v>
      </c>
    </row>
    <row r="13" spans="1:4" ht="15">
      <c r="A13" s="79"/>
      <c r="B13" s="103"/>
      <c r="C13" s="93"/>
      <c r="D13" s="104"/>
    </row>
    <row r="14" spans="1:5" ht="12.75">
      <c r="A14" s="80" t="s">
        <v>2</v>
      </c>
      <c r="B14" s="104">
        <f>IF(B6&lt;plancher+1,LOOKUP(SAISIE!B8,SFT_Plancher),IF(B6&gt;plafond-1,LOOKUP(SAISIE!B8,SFT_Plafond),LOOKUP(SAISIE!B8,SFT_Indice)))</f>
        <v>0</v>
      </c>
      <c r="C14" s="95" t="s">
        <v>31</v>
      </c>
      <c r="D14" s="104">
        <f>ROUND(B18*PRIMES!B4,2)</f>
        <v>9.27</v>
      </c>
      <c r="E14" s="2"/>
    </row>
    <row r="15" spans="1:4" ht="15">
      <c r="A15" s="79"/>
      <c r="B15" s="104"/>
      <c r="C15" s="92"/>
      <c r="D15" s="103"/>
    </row>
    <row r="16" spans="1:4" ht="12.75">
      <c r="A16" s="80" t="s">
        <v>25</v>
      </c>
      <c r="B16" s="104">
        <f>IF(SAISIE!B7=1,ROUNDDOWN(IF(SAISIE!F5&lt;297,13.12+(B12/100),(B10+B12)/100),2),IF(SAISIE!B7=2,ROUNDDOWN(IF(SAISIE!F5&lt;297,39.36+(B12*3/100),(B10+B12)*3/100),2),0))</f>
        <v>0</v>
      </c>
      <c r="C16" s="95" t="s">
        <v>62</v>
      </c>
      <c r="D16" s="104">
        <f>ROUNDDOWN(IF((B14+B16+B20+B22+B24)&lt;(B10*20/100),(B14+B16+B20+B22+B24)*5/100,B10*1/100),2)</f>
        <v>35.38</v>
      </c>
    </row>
    <row r="17" spans="1:4" ht="15">
      <c r="A17" s="79"/>
      <c r="B17" s="103"/>
      <c r="C17" s="92"/>
      <c r="D17" s="103"/>
    </row>
    <row r="18" spans="1:4" ht="12.75">
      <c r="A18" s="80" t="s">
        <v>24</v>
      </c>
      <c r="B18" s="104">
        <f>ROUNDUP(PRIMES!B3*SAISIE!C10,2)</f>
        <v>57.91</v>
      </c>
      <c r="C18" s="96" t="s">
        <v>6</v>
      </c>
      <c r="D18" s="105">
        <f>SUM(D10:D14)</f>
        <v>287.08</v>
      </c>
    </row>
    <row r="19" spans="1:4" ht="15">
      <c r="A19" s="79"/>
      <c r="B19" s="103"/>
      <c r="C19" s="92"/>
      <c r="D19" s="103"/>
    </row>
    <row r="20" spans="1:4" ht="15">
      <c r="A20" s="80" t="str">
        <f>IF(SAISIE!B3=0,"I.A.T.","I.F.T.S.")</f>
        <v>I.F.T.S.</v>
      </c>
      <c r="B20" s="104">
        <f>ROUNDDOWN(B10*0.0833,2)</f>
        <v>294.79</v>
      </c>
      <c r="C20" s="97"/>
      <c r="D20" s="103"/>
    </row>
    <row r="21" spans="1:4" ht="15">
      <c r="A21" s="79"/>
      <c r="B21" s="103"/>
      <c r="C21" s="93" t="s">
        <v>7</v>
      </c>
      <c r="D21" s="104">
        <f>ROUNDDOWN((B27*97/100)*2.4/100,2)</f>
        <v>110.85</v>
      </c>
    </row>
    <row r="22" spans="1:4" ht="12.75">
      <c r="A22" s="80" t="s">
        <v>19</v>
      </c>
      <c r="B22" s="104">
        <f>IF(SAISIE!B3=4,ROUNDUP(PRIMES!B7*SAISIE!C10,2),IF(SAISIE!B3=3,ROUNDUP(PRIMES!B8*SAISIE!C10,2),IF(SAISIE!B3=2,ROUNDUP(PRIMES!B9*SAISIE!C10,2),IF(SAISIE!B3=5,ROUNDUP(PRIMES!F8*SAISIE!C10,2),IF(SAISIE!B3=6,ROUNDUP(PRIMES!F7*SAISIE!C10,2),ROUNDUP(LOOKUP(B5,rendement)*SAISIE!C10,2))))))</f>
        <v>598.87</v>
      </c>
      <c r="C22" s="93"/>
      <c r="D22" s="104"/>
    </row>
    <row r="23" spans="1:4" ht="15">
      <c r="A23" s="79"/>
      <c r="B23" s="103"/>
      <c r="C23" s="93" t="s">
        <v>9</v>
      </c>
      <c r="D23" s="104">
        <f>ROUNDDOWN((B27*97/100)*5.1/100,2)</f>
        <v>235.56</v>
      </c>
    </row>
    <row r="24" spans="1:4" ht="12.75">
      <c r="A24" s="80" t="s">
        <v>54</v>
      </c>
      <c r="B24" s="104">
        <f>IF(SAISIE!B3=4,ROUNDUP(PRIMES!B25*SAISIE!C10,2),IF(SAISIE!B3=3,ROUNDUP(PRIMES!B26*SAISIE!C10,2),IF(SAISIE!B3=2,ROUNDUP(PRIMES!B27*SAISIE!C10,2),IF(SAISIE!B3=5,ROUNDUP(LOOKUP(B5,acfIPdeux)*SAISIE!C10,2),IF(SAISIE!B3=6,ROUNDUP(LOOKUP(B5,acfIPun)*SAISIE!C10,2),ROUNDUP(LOOKUP(B5,encadrement)*SAISIE!C10,2))))))</f>
        <v>271.28</v>
      </c>
      <c r="C24" s="93"/>
      <c r="D24" s="104"/>
    </row>
    <row r="25" spans="1:4" ht="15">
      <c r="A25" s="79"/>
      <c r="B25" s="103"/>
      <c r="C25" s="93" t="s">
        <v>10</v>
      </c>
      <c r="D25" s="104">
        <f>ROUNDDOWN((B27*97/100)*0.5/100,2)</f>
        <v>23.09</v>
      </c>
    </row>
    <row r="26" spans="1:4" ht="15">
      <c r="A26" s="79"/>
      <c r="B26" s="103"/>
      <c r="C26" s="93"/>
      <c r="D26" s="104"/>
    </row>
    <row r="27" spans="1:4" ht="12.75">
      <c r="A27" s="81" t="s">
        <v>5</v>
      </c>
      <c r="B27" s="105">
        <f>SUM(B10:B24)</f>
        <v>4761.839999999999</v>
      </c>
      <c r="C27" s="93" t="s">
        <v>11</v>
      </c>
      <c r="D27" s="104">
        <f>IF((B10+B12+B16-D10-D12)&gt;288*point,ROUNDDOWN((B27-D18)/100,2),0)</f>
        <v>44.74</v>
      </c>
    </row>
    <row r="28" spans="1:4" ht="15">
      <c r="A28" s="76"/>
      <c r="B28" s="103"/>
      <c r="C28" s="92"/>
      <c r="D28" s="103"/>
    </row>
    <row r="29" spans="1:4" ht="15">
      <c r="A29" s="76"/>
      <c r="B29" s="103"/>
      <c r="C29" s="96" t="s">
        <v>14</v>
      </c>
      <c r="D29" s="105">
        <f>SUM(D20:D27)</f>
        <v>414.23999999999995</v>
      </c>
    </row>
    <row r="30" spans="1:4" ht="15">
      <c r="A30" s="82"/>
      <c r="B30" s="104"/>
      <c r="C30" s="92"/>
      <c r="D30" s="103"/>
    </row>
    <row r="31" spans="1:4" ht="15">
      <c r="A31" s="76"/>
      <c r="B31" s="103"/>
      <c r="C31" s="93" t="s">
        <v>15</v>
      </c>
      <c r="D31" s="104">
        <f>SAISIE!B12</f>
        <v>0</v>
      </c>
    </row>
    <row r="32" spans="1:4" ht="15">
      <c r="A32" s="76"/>
      <c r="B32" s="105"/>
      <c r="C32" s="93"/>
      <c r="D32" s="104"/>
    </row>
    <row r="33" spans="1:4" ht="15">
      <c r="A33" s="76"/>
      <c r="B33" s="103"/>
      <c r="C33" s="93" t="s">
        <v>34</v>
      </c>
      <c r="D33" s="104">
        <f>SAISIE!B13</f>
        <v>0</v>
      </c>
    </row>
    <row r="34" spans="1:4" ht="15">
      <c r="A34" s="76"/>
      <c r="B34" s="103"/>
      <c r="C34" s="92"/>
      <c r="D34" s="103"/>
    </row>
    <row r="35" spans="1:4" ht="15">
      <c r="A35" s="76"/>
      <c r="B35" s="103"/>
      <c r="C35" s="96" t="s">
        <v>16</v>
      </c>
      <c r="D35" s="105">
        <f>SUM(D31:D33)</f>
        <v>0</v>
      </c>
    </row>
    <row r="36" spans="1:4" ht="15">
      <c r="A36" s="76"/>
      <c r="B36" s="103"/>
      <c r="C36" s="92"/>
      <c r="D36" s="103"/>
    </row>
    <row r="37" spans="1:4" ht="15">
      <c r="A37" s="76"/>
      <c r="B37" s="103"/>
      <c r="C37" s="92"/>
      <c r="D37" s="103"/>
    </row>
    <row r="38" spans="1:4" ht="15">
      <c r="A38" s="76"/>
      <c r="B38" s="103"/>
      <c r="C38" s="96" t="s">
        <v>32</v>
      </c>
      <c r="D38" s="106">
        <f>D18+D29+D35</f>
        <v>701.3199999999999</v>
      </c>
    </row>
    <row r="39" spans="1:4" ht="15">
      <c r="A39" s="83" t="s">
        <v>20</v>
      </c>
      <c r="B39" s="106">
        <f>ROUNDDOWN(B27-(D18+D23+D27),2)</f>
        <v>4194.46</v>
      </c>
      <c r="C39" s="98"/>
      <c r="D39" s="103"/>
    </row>
    <row r="40" spans="1:4" ht="15">
      <c r="A40" s="76"/>
      <c r="B40" s="103"/>
      <c r="C40" s="98"/>
      <c r="D40" s="103"/>
    </row>
    <row r="41" spans="1:4" ht="15.75" thickBot="1">
      <c r="A41" s="84"/>
      <c r="B41" s="107"/>
      <c r="C41" s="99"/>
      <c r="D41" s="107"/>
    </row>
  </sheetData>
  <sheetProtection password="C8E4" sheet="1" objects="1" scenarios="1"/>
  <mergeCells count="1">
    <mergeCell ref="B1:C1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IV1">
      <selection activeCell="A16" sqref="A1:IV16384"/>
    </sheetView>
  </sheetViews>
  <sheetFormatPr defaultColWidth="11.421875" defaultRowHeight="12.75"/>
  <cols>
    <col min="1" max="1" width="32.140625" style="5" hidden="1" customWidth="1"/>
    <col min="2" max="2" width="0" style="5" hidden="1" customWidth="1"/>
    <col min="3" max="16384" width="0" style="0" hidden="1" customWidth="1"/>
  </cols>
  <sheetData>
    <row r="3" spans="1:2" ht="12.75">
      <c r="A3" s="10" t="s">
        <v>28</v>
      </c>
      <c r="B3" s="9">
        <v>57.91</v>
      </c>
    </row>
    <row r="4" spans="1:2" ht="12.75">
      <c r="A4" s="7" t="s">
        <v>29</v>
      </c>
      <c r="B4" s="9">
        <v>0.16</v>
      </c>
    </row>
    <row r="5" ht="12.75">
      <c r="B5" s="9"/>
    </row>
    <row r="6" spans="1:7" ht="12.75">
      <c r="A6" s="10" t="s">
        <v>30</v>
      </c>
      <c r="B6" s="34" t="s">
        <v>58</v>
      </c>
      <c r="C6" s="35" t="s">
        <v>59</v>
      </c>
      <c r="F6" s="34" t="s">
        <v>58</v>
      </c>
      <c r="G6" s="35" t="s">
        <v>59</v>
      </c>
    </row>
    <row r="7" spans="1:7" ht="12.75">
      <c r="A7" s="8" t="s">
        <v>57</v>
      </c>
      <c r="B7" s="9">
        <f>ROUNDUP(C7/12,2)</f>
        <v>598.87</v>
      </c>
      <c r="C7" s="9">
        <v>7186.33</v>
      </c>
      <c r="E7" s="8" t="s">
        <v>64</v>
      </c>
      <c r="F7" s="9">
        <f>ROUNDUP(G7/12,2)</f>
        <v>587.42</v>
      </c>
      <c r="G7" s="9">
        <v>7048.97</v>
      </c>
    </row>
    <row r="8" spans="1:7" ht="12.75">
      <c r="A8" s="8" t="s">
        <v>49</v>
      </c>
      <c r="B8" s="9">
        <f>ROUNDUP(C8/12,2)</f>
        <v>551.23</v>
      </c>
      <c r="C8" s="9">
        <v>6614.66</v>
      </c>
      <c r="E8" s="8" t="s">
        <v>63</v>
      </c>
      <c r="F8" s="9">
        <f>ROUNDUP(G8/12,2)</f>
        <v>503.75</v>
      </c>
      <c r="G8" s="9">
        <v>6045</v>
      </c>
    </row>
    <row r="9" spans="1:5" ht="12.75">
      <c r="A9" s="8" t="s">
        <v>48</v>
      </c>
      <c r="B9" s="9">
        <f>ROUNDUP(C9/12,2)</f>
        <v>506.03</v>
      </c>
      <c r="C9" s="9">
        <v>6072.27</v>
      </c>
      <c r="E9" s="9"/>
    </row>
    <row r="10" spans="1:5" ht="12.75">
      <c r="A10" s="8" t="s">
        <v>51</v>
      </c>
      <c r="B10" s="9"/>
      <c r="E10" s="36"/>
    </row>
    <row r="11" spans="1:5" ht="12.75">
      <c r="A11" s="27">
        <v>1</v>
      </c>
      <c r="B11" s="28">
        <f>ROUNDDOWN(C11/12,2)</f>
        <v>402.41</v>
      </c>
      <c r="C11" s="9">
        <v>4828.93</v>
      </c>
      <c r="E11" s="37"/>
    </row>
    <row r="12" spans="1:5" ht="12.75">
      <c r="A12" s="29">
        <v>2</v>
      </c>
      <c r="B12" s="30">
        <f>B11</f>
        <v>402.41</v>
      </c>
      <c r="E12" s="37"/>
    </row>
    <row r="13" spans="1:5" ht="12.75">
      <c r="A13" s="29">
        <v>3</v>
      </c>
      <c r="B13" s="30">
        <f>B11</f>
        <v>402.41</v>
      </c>
      <c r="E13" s="37"/>
    </row>
    <row r="14" spans="1:5" ht="12.75">
      <c r="A14" s="29">
        <v>4</v>
      </c>
      <c r="B14" s="30">
        <f>B11</f>
        <v>402.41</v>
      </c>
      <c r="E14" s="37"/>
    </row>
    <row r="15" spans="1:5" ht="12.75">
      <c r="A15" s="29">
        <v>5</v>
      </c>
      <c r="B15" s="30">
        <f>B11</f>
        <v>402.41</v>
      </c>
      <c r="E15" s="37"/>
    </row>
    <row r="16" spans="1:5" ht="12.75">
      <c r="A16" s="29">
        <v>6</v>
      </c>
      <c r="B16" s="30">
        <f>B11</f>
        <v>402.41</v>
      </c>
      <c r="E16" s="37"/>
    </row>
    <row r="17" spans="1:5" ht="12.75">
      <c r="A17" s="29">
        <v>7</v>
      </c>
      <c r="B17" s="30">
        <f>B11</f>
        <v>402.41</v>
      </c>
      <c r="E17" s="37"/>
    </row>
    <row r="18" spans="1:5" ht="12.75">
      <c r="A18" s="29">
        <v>8</v>
      </c>
      <c r="B18" s="30">
        <f>ROUNDUP(C18/12,2)</f>
        <v>474.21</v>
      </c>
      <c r="C18" s="9">
        <v>5690.48</v>
      </c>
      <c r="E18" s="37"/>
    </row>
    <row r="19" spans="1:5" ht="12.75">
      <c r="A19" s="29">
        <v>9</v>
      </c>
      <c r="B19" s="30">
        <f>B18</f>
        <v>474.21</v>
      </c>
      <c r="E19" s="37"/>
    </row>
    <row r="20" spans="1:5" ht="12.75">
      <c r="A20" s="29">
        <v>10</v>
      </c>
      <c r="B20" s="30">
        <f>B18</f>
        <v>474.21</v>
      </c>
      <c r="E20" s="37"/>
    </row>
    <row r="21" spans="1:5" ht="12.75">
      <c r="A21" s="29">
        <v>11</v>
      </c>
      <c r="B21" s="30">
        <f>ROUNDUP(C21/12,2)</f>
        <v>482.71</v>
      </c>
      <c r="C21" s="9">
        <v>5792.5</v>
      </c>
      <c r="E21" s="37"/>
    </row>
    <row r="22" spans="1:5" ht="12.75">
      <c r="A22" s="31">
        <v>12</v>
      </c>
      <c r="B22" s="32">
        <f>B21</f>
        <v>482.71</v>
      </c>
      <c r="E22" s="37"/>
    </row>
    <row r="23" spans="1:5" ht="12.75">
      <c r="A23" s="26"/>
      <c r="E23" s="36"/>
    </row>
    <row r="24" spans="1:4" ht="12.75">
      <c r="A24" s="10" t="s">
        <v>55</v>
      </c>
      <c r="B24" s="34" t="s">
        <v>58</v>
      </c>
      <c r="C24" s="35" t="s">
        <v>59</v>
      </c>
      <c r="D24" s="35" t="s">
        <v>60</v>
      </c>
    </row>
    <row r="25" spans="1:5" ht="12.75">
      <c r="A25" s="8" t="s">
        <v>57</v>
      </c>
      <c r="B25" s="5">
        <f>ROUNDUP((C25+D25)/12,2)</f>
        <v>271.28</v>
      </c>
      <c r="C25" s="9">
        <v>2699.76</v>
      </c>
      <c r="D25" s="9">
        <f>552.82*100.5/100</f>
        <v>555.5841</v>
      </c>
      <c r="E25" s="5"/>
    </row>
    <row r="26" spans="1:5" ht="12.75">
      <c r="A26" s="8" t="s">
        <v>49</v>
      </c>
      <c r="B26" s="9">
        <f>ROUNDUP((C26+D26)/12,2)</f>
        <v>262.88</v>
      </c>
      <c r="C26" s="9">
        <v>2598.88</v>
      </c>
      <c r="D26" s="9">
        <f>552.82*100.5/100</f>
        <v>555.5841</v>
      </c>
      <c r="E26" s="5"/>
    </row>
    <row r="27" spans="1:5" ht="12.75">
      <c r="A27" s="8" t="s">
        <v>48</v>
      </c>
      <c r="B27" s="5">
        <f>ROUNDUP((C27+D27)/12,2)</f>
        <v>222.06</v>
      </c>
      <c r="C27" s="9">
        <v>2109.07</v>
      </c>
      <c r="D27" s="9">
        <f>552.82*100.5/100</f>
        <v>555.5841</v>
      </c>
      <c r="E27" s="5"/>
    </row>
    <row r="28" spans="1:7" ht="12.75">
      <c r="A28" s="8" t="s">
        <v>51</v>
      </c>
      <c r="E28" s="8" t="s">
        <v>64</v>
      </c>
      <c r="F28" s="34" t="s">
        <v>58</v>
      </c>
      <c r="G28" s="35" t="s">
        <v>59</v>
      </c>
    </row>
    <row r="29" spans="1:7" ht="12.75">
      <c r="A29" s="27">
        <v>1</v>
      </c>
      <c r="B29" s="12">
        <f>ROUNDUP(C29/12,2)</f>
        <v>138.26999999999998</v>
      </c>
      <c r="C29" s="9">
        <v>1659.23</v>
      </c>
      <c r="E29" s="11">
        <v>1</v>
      </c>
      <c r="F29" s="24">
        <f>ROUNDUP(G29/12,2)</f>
        <v>1421.18</v>
      </c>
      <c r="G29" s="3">
        <v>17054.07</v>
      </c>
    </row>
    <row r="30" spans="1:7" ht="12.75">
      <c r="A30" s="29">
        <v>2</v>
      </c>
      <c r="B30" s="14">
        <f>B29</f>
        <v>138.26999999999998</v>
      </c>
      <c r="C30" s="9"/>
      <c r="E30" s="13">
        <v>2</v>
      </c>
      <c r="F30" s="4">
        <f>ROUNDUP(G30/12,2)</f>
        <v>1402.32</v>
      </c>
      <c r="G30" s="3">
        <v>16827.81</v>
      </c>
    </row>
    <row r="31" spans="1:7" ht="12.75">
      <c r="A31" s="29">
        <v>3</v>
      </c>
      <c r="B31" s="14">
        <f>B29</f>
        <v>138.26999999999998</v>
      </c>
      <c r="C31" s="9"/>
      <c r="E31" s="15">
        <v>3</v>
      </c>
      <c r="F31" s="25">
        <f>ROUNDUP(G31/12,2)</f>
        <v>1383.47</v>
      </c>
      <c r="G31" s="3">
        <v>16601.57</v>
      </c>
    </row>
    <row r="32" spans="1:6" ht="12.75">
      <c r="A32" s="29">
        <v>4</v>
      </c>
      <c r="B32" s="14">
        <f>ROUNDUP(C32/12,2)</f>
        <v>140.88</v>
      </c>
      <c r="C32" s="9">
        <v>1690.46</v>
      </c>
      <c r="F32" s="33"/>
    </row>
    <row r="33" spans="1:7" ht="12.75">
      <c r="A33" s="29">
        <v>5</v>
      </c>
      <c r="B33" s="14">
        <f>B32</f>
        <v>140.88</v>
      </c>
      <c r="C33" s="9"/>
      <c r="E33" s="8" t="s">
        <v>63</v>
      </c>
      <c r="F33" s="34" t="s">
        <v>58</v>
      </c>
      <c r="G33" s="35" t="s">
        <v>59</v>
      </c>
    </row>
    <row r="34" spans="1:7" ht="12.75">
      <c r="A34" s="29">
        <v>6</v>
      </c>
      <c r="B34" s="14">
        <f>ROUNDUP(C34/12,2)</f>
        <v>149.07</v>
      </c>
      <c r="C34" s="9">
        <v>1788.81</v>
      </c>
      <c r="E34" s="11">
        <v>1</v>
      </c>
      <c r="F34" s="24">
        <f aca="true" t="shared" si="0" ref="F34:F40">ROUNDUP(G34/12,2)</f>
        <v>1196.68</v>
      </c>
      <c r="G34" s="3">
        <v>14360.06</v>
      </c>
    </row>
    <row r="35" spans="1:7" ht="12.75">
      <c r="A35" s="29">
        <v>7</v>
      </c>
      <c r="B35" s="14">
        <f>B34</f>
        <v>149.07</v>
      </c>
      <c r="C35" s="9"/>
      <c r="E35" s="13">
        <v>2</v>
      </c>
      <c r="F35" s="4">
        <f t="shared" si="0"/>
        <v>1346.57</v>
      </c>
      <c r="G35" s="3">
        <v>16158.81</v>
      </c>
    </row>
    <row r="36" spans="1:7" ht="12.75">
      <c r="A36" s="29">
        <v>8</v>
      </c>
      <c r="B36" s="14">
        <f>ROUNDUP(C36/12,2)</f>
        <v>163.04</v>
      </c>
      <c r="C36" s="9">
        <v>1956.47</v>
      </c>
      <c r="E36" s="13">
        <v>3</v>
      </c>
      <c r="F36" s="4">
        <f t="shared" si="0"/>
        <v>1372.36</v>
      </c>
      <c r="G36" s="3">
        <v>16468.25</v>
      </c>
    </row>
    <row r="37" spans="1:7" ht="12.75">
      <c r="A37" s="29">
        <v>9</v>
      </c>
      <c r="B37" s="14">
        <f>B36</f>
        <v>163.04</v>
      </c>
      <c r="C37" s="9"/>
      <c r="E37" s="13">
        <v>4</v>
      </c>
      <c r="F37" s="4">
        <f t="shared" si="0"/>
        <v>1441.58</v>
      </c>
      <c r="G37" s="3">
        <v>17298.96</v>
      </c>
    </row>
    <row r="38" spans="1:7" ht="12.75">
      <c r="A38" s="29">
        <v>10</v>
      </c>
      <c r="B38" s="14">
        <f>ROUNDUP(C38/12,2)</f>
        <v>178.31</v>
      </c>
      <c r="C38" s="9">
        <v>2139.65</v>
      </c>
      <c r="E38" s="13">
        <v>5</v>
      </c>
      <c r="F38" s="4">
        <f t="shared" si="0"/>
        <v>1555.3799999999999</v>
      </c>
      <c r="G38" s="3">
        <v>18664.5</v>
      </c>
    </row>
    <row r="39" spans="1:7" ht="12.75">
      <c r="A39" s="29">
        <v>11</v>
      </c>
      <c r="B39" s="14">
        <f>ROUNDUP(C39/12,2)</f>
        <v>178.56</v>
      </c>
      <c r="C39" s="9">
        <v>2142.7</v>
      </c>
      <c r="E39" s="13">
        <v>6</v>
      </c>
      <c r="F39" s="4">
        <f t="shared" si="0"/>
        <v>1531.58</v>
      </c>
      <c r="G39" s="3">
        <v>18378.92</v>
      </c>
    </row>
    <row r="40" spans="1:7" ht="12.75">
      <c r="A40" s="31">
        <v>12</v>
      </c>
      <c r="B40" s="16">
        <f>B39</f>
        <v>178.56</v>
      </c>
      <c r="C40" s="9"/>
      <c r="E40" s="15">
        <v>7</v>
      </c>
      <c r="F40" s="25">
        <f t="shared" si="0"/>
        <v>1521.3</v>
      </c>
      <c r="G40" s="3">
        <v>18255.6</v>
      </c>
    </row>
  </sheetData>
  <sheetProtection password="C8E4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IV1">
      <selection activeCell="A1" sqref="A1:IV16384"/>
    </sheetView>
  </sheetViews>
  <sheetFormatPr defaultColWidth="11.421875" defaultRowHeight="12.75"/>
  <cols>
    <col min="1" max="1" width="15.7109375" style="0" hidden="1" customWidth="1"/>
    <col min="2" max="2" width="22.00390625" style="0" hidden="1" customWidth="1"/>
    <col min="3" max="4" width="0" style="0" hidden="1" customWidth="1"/>
    <col min="5" max="5" width="15.00390625" style="0" hidden="1" customWidth="1"/>
    <col min="6" max="16384" width="0" style="0" hidden="1" customWidth="1"/>
  </cols>
  <sheetData>
    <row r="2" spans="1:7" ht="15.75">
      <c r="A2" s="39" t="s">
        <v>65</v>
      </c>
      <c r="B2" s="40"/>
      <c r="C2" s="6">
        <v>4.440391</v>
      </c>
      <c r="E2" s="38" t="s">
        <v>52</v>
      </c>
      <c r="F2" s="38"/>
      <c r="G2" s="5">
        <v>448</v>
      </c>
    </row>
    <row r="3" spans="5:7" ht="12.75">
      <c r="E3" s="38" t="s">
        <v>45</v>
      </c>
      <c r="F3" s="38"/>
      <c r="G3" s="5">
        <v>716</v>
      </c>
    </row>
    <row r="5" spans="1:7" ht="15.75">
      <c r="A5" s="39" t="s">
        <v>61</v>
      </c>
      <c r="B5" s="40"/>
      <c r="C5" s="6">
        <v>4.4183</v>
      </c>
      <c r="F5" s="41" t="s">
        <v>46</v>
      </c>
      <c r="G5" s="41"/>
    </row>
    <row r="6" spans="6:7" ht="12.75">
      <c r="F6" s="11">
        <v>0</v>
      </c>
      <c r="G6" s="24">
        <v>0</v>
      </c>
    </row>
    <row r="7" spans="6:7" ht="12.75">
      <c r="F7" s="13">
        <v>1</v>
      </c>
      <c r="G7" s="4">
        <v>2.29</v>
      </c>
    </row>
    <row r="8" spans="1:7" ht="12.75">
      <c r="A8" s="1"/>
      <c r="F8" s="13">
        <v>2</v>
      </c>
      <c r="G8" s="4">
        <f>ROUNDDOWN(10.67+(plancher*point)*3/100,2)</f>
        <v>70.34</v>
      </c>
    </row>
    <row r="9" spans="1:7" ht="15.75">
      <c r="A9" s="39" t="s">
        <v>56</v>
      </c>
      <c r="B9" s="40"/>
      <c r="C9" s="6">
        <f>52.7558/12</f>
        <v>4.396316666666666</v>
      </c>
      <c r="F9" s="13">
        <v>3</v>
      </c>
      <c r="G9" s="4">
        <f>ROUND(15.24+(plancher*point)*8/100,2)</f>
        <v>174.38</v>
      </c>
    </row>
    <row r="10" spans="6:7" ht="12.75">
      <c r="F10" s="13">
        <v>4</v>
      </c>
      <c r="G10" s="4">
        <f aca="true" t="shared" si="0" ref="G10:G16">ROUNDDOWN(G9+4.57+(plancher*point)*6/100,2)</f>
        <v>298.3</v>
      </c>
    </row>
    <row r="11" spans="1:7" ht="15.75">
      <c r="A11" s="39" t="s">
        <v>21</v>
      </c>
      <c r="B11" s="40"/>
      <c r="C11" s="6">
        <f>52.4933/12</f>
        <v>4.374441666666667</v>
      </c>
      <c r="F11" s="13">
        <v>5</v>
      </c>
      <c r="G11" s="4">
        <f t="shared" si="0"/>
        <v>422.22</v>
      </c>
    </row>
    <row r="12" spans="6:7" ht="12.75">
      <c r="F12" s="13">
        <v>6</v>
      </c>
      <c r="G12" s="4">
        <f t="shared" si="0"/>
        <v>546.14</v>
      </c>
    </row>
    <row r="13" spans="6:7" ht="12.75">
      <c r="F13" s="13">
        <v>7</v>
      </c>
      <c r="G13" s="4">
        <f t="shared" si="0"/>
        <v>670.06</v>
      </c>
    </row>
    <row r="14" spans="6:7" ht="12.75">
      <c r="F14" s="13">
        <v>8</v>
      </c>
      <c r="G14" s="4">
        <f t="shared" si="0"/>
        <v>793.98</v>
      </c>
    </row>
    <row r="15" spans="6:7" ht="12.75">
      <c r="F15" s="13">
        <v>9</v>
      </c>
      <c r="G15" s="4">
        <f t="shared" si="0"/>
        <v>917.9</v>
      </c>
    </row>
    <row r="16" spans="6:7" ht="12.75">
      <c r="F16" s="15">
        <v>10</v>
      </c>
      <c r="G16" s="25">
        <f t="shared" si="0"/>
        <v>1041.82</v>
      </c>
    </row>
    <row r="18" spans="6:7" ht="12.75">
      <c r="F18" s="38" t="s">
        <v>47</v>
      </c>
      <c r="G18" s="38"/>
    </row>
    <row r="19" spans="6:7" ht="12.75">
      <c r="F19" s="11">
        <v>0</v>
      </c>
      <c r="G19" s="24">
        <v>0</v>
      </c>
    </row>
    <row r="20" spans="6:7" ht="12.75">
      <c r="F20" s="13">
        <v>1</v>
      </c>
      <c r="G20" s="4">
        <v>2.29</v>
      </c>
    </row>
    <row r="21" spans="6:7" ht="12.75">
      <c r="F21" s="13">
        <v>2</v>
      </c>
      <c r="G21" s="4">
        <f>ROUNDDOWN(10.67+(SAISIE!F5*point)*3/100,2)</f>
        <v>116.83</v>
      </c>
    </row>
    <row r="22" spans="6:7" ht="12.75">
      <c r="F22" s="13">
        <v>3</v>
      </c>
      <c r="G22" s="4">
        <f>ROUNDDOWN(15.24+(SAISIE!F5*point)*8/100,2)</f>
        <v>298.35</v>
      </c>
    </row>
    <row r="23" spans="6:7" ht="12.75">
      <c r="F23" s="13">
        <v>4</v>
      </c>
      <c r="G23" s="4">
        <f>ROUNDDOWN(G22+4.57+(SAISIE!F5*point)*6/100,2)</f>
        <v>515.25</v>
      </c>
    </row>
    <row r="24" spans="6:7" ht="12.75">
      <c r="F24" s="13">
        <v>5</v>
      </c>
      <c r="G24" s="4">
        <f>ROUNDDOWN(G23+4.57+(SAISIE!F5*point)*6/100,2)</f>
        <v>732.15</v>
      </c>
    </row>
    <row r="25" spans="6:7" ht="12.75">
      <c r="F25" s="13">
        <v>6</v>
      </c>
      <c r="G25" s="4">
        <f>ROUNDDOWN(G24+4.57+(SAISIE!F5*point)*6/100,2)</f>
        <v>949.05</v>
      </c>
    </row>
    <row r="26" spans="6:7" ht="12.75">
      <c r="F26" s="13">
        <v>7</v>
      </c>
      <c r="G26" s="4">
        <f>ROUNDDOWN(G25+4.57+(SAISIE!F5*point)*6/100,2)</f>
        <v>1165.95</v>
      </c>
    </row>
    <row r="27" spans="6:7" ht="12.75">
      <c r="F27" s="13">
        <v>8</v>
      </c>
      <c r="G27" s="4">
        <f>ROUNDDOWN(G26+4.57+(SAISIE!F5*point)*6/100,2)</f>
        <v>1382.85</v>
      </c>
    </row>
    <row r="28" spans="6:7" ht="12.75">
      <c r="F28" s="13">
        <v>9</v>
      </c>
      <c r="G28" s="4">
        <f>ROUNDDOWN(G27+4.57+(SAISIE!F5*point)*6/100,2)</f>
        <v>1599.75</v>
      </c>
    </row>
    <row r="29" spans="6:7" ht="12.75">
      <c r="F29" s="15">
        <v>10</v>
      </c>
      <c r="G29" s="25">
        <f>ROUNDDOWN(G28+4.57+(SAISIE!F5*point)*6/100,2)</f>
        <v>1816.65</v>
      </c>
    </row>
    <row r="31" spans="6:7" ht="12.75">
      <c r="F31" s="38" t="s">
        <v>53</v>
      </c>
      <c r="G31" s="38"/>
    </row>
    <row r="32" spans="6:7" ht="12.75">
      <c r="F32" s="11">
        <v>0</v>
      </c>
      <c r="G32" s="24">
        <v>0</v>
      </c>
    </row>
    <row r="33" spans="6:7" ht="12.75">
      <c r="F33" s="13">
        <v>1</v>
      </c>
      <c r="G33" s="4">
        <v>2.29</v>
      </c>
    </row>
    <row r="34" spans="6:7" ht="12.75">
      <c r="F34" s="13">
        <v>2</v>
      </c>
      <c r="G34" s="4">
        <f>ROUNDDOWN(10.67+(plafond*point)*3/100,2)</f>
        <v>106.04</v>
      </c>
    </row>
    <row r="35" spans="6:7" ht="12.75">
      <c r="F35" s="13">
        <v>3</v>
      </c>
      <c r="G35" s="4">
        <f>ROUNDDOWN(15.24+(plafond*point)*8/100,2)</f>
        <v>269.58</v>
      </c>
    </row>
    <row r="36" spans="6:7" ht="12.75">
      <c r="F36" s="13">
        <v>4</v>
      </c>
      <c r="G36" s="4">
        <f>ROUNDDOWN(G35+4.57+(plafond*point)*6/100,2)</f>
        <v>464.9</v>
      </c>
    </row>
    <row r="37" spans="6:7" ht="12.75">
      <c r="F37" s="13">
        <v>5</v>
      </c>
      <c r="G37" s="4">
        <f aca="true" t="shared" si="1" ref="G37:G42">ROUNDDOWN(G36+4.57+(plafond*point)*6/100,2)</f>
        <v>660.22</v>
      </c>
    </row>
    <row r="38" spans="6:7" ht="12.75">
      <c r="F38" s="13">
        <v>6</v>
      </c>
      <c r="G38" s="4">
        <f t="shared" si="1"/>
        <v>855.54</v>
      </c>
    </row>
    <row r="39" spans="6:7" ht="12.75">
      <c r="F39" s="13">
        <v>7</v>
      </c>
      <c r="G39" s="4">
        <f t="shared" si="1"/>
        <v>1050.86</v>
      </c>
    </row>
    <row r="40" spans="6:7" ht="12.75">
      <c r="F40" s="13">
        <v>8</v>
      </c>
      <c r="G40" s="4">
        <f t="shared" si="1"/>
        <v>1246.18</v>
      </c>
    </row>
    <row r="41" spans="6:7" ht="12.75">
      <c r="F41" s="13">
        <v>9</v>
      </c>
      <c r="G41" s="4">
        <f t="shared" si="1"/>
        <v>1441.5</v>
      </c>
    </row>
    <row r="42" spans="6:7" ht="12.75">
      <c r="F42" s="15">
        <v>10</v>
      </c>
      <c r="G42" s="25">
        <f t="shared" si="1"/>
        <v>1636.82</v>
      </c>
    </row>
  </sheetData>
  <sheetProtection password="C8E4" sheet="1" objects="1" scenarios="1"/>
  <mergeCells count="9">
    <mergeCell ref="F31:G31"/>
    <mergeCell ref="A11:B11"/>
    <mergeCell ref="E2:F2"/>
    <mergeCell ref="F5:G5"/>
    <mergeCell ref="F18:G18"/>
    <mergeCell ref="E3:F3"/>
    <mergeCell ref="A9:B9"/>
    <mergeCell ref="A2:B2"/>
    <mergeCell ref="A5:B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IV1">
      <selection activeCell="A1" sqref="A1:IV16384"/>
    </sheetView>
  </sheetViews>
  <sheetFormatPr defaultColWidth="11.421875" defaultRowHeight="12.75"/>
  <cols>
    <col min="1" max="1" width="0" style="0" hidden="1" customWidth="1"/>
    <col min="2" max="2" width="14.57421875" style="0" hidden="1" customWidth="1"/>
    <col min="3" max="16384" width="0" style="0" hidden="1" customWidth="1"/>
  </cols>
  <sheetData>
    <row r="2" spans="1:8" ht="12.75">
      <c r="A2" s="42" t="s">
        <v>36</v>
      </c>
      <c r="B2" s="42"/>
      <c r="D2" s="38" t="s">
        <v>51</v>
      </c>
      <c r="E2" s="38"/>
      <c r="G2" s="38" t="s">
        <v>63</v>
      </c>
      <c r="H2" s="38"/>
    </row>
    <row r="3" spans="1:8" ht="12.75">
      <c r="A3" s="11">
        <v>1</v>
      </c>
      <c r="B3" s="12" t="s">
        <v>50</v>
      </c>
      <c r="D3" s="11">
        <v>1</v>
      </c>
      <c r="E3" s="12">
        <v>348</v>
      </c>
      <c r="G3" s="11">
        <v>1</v>
      </c>
      <c r="H3" s="12">
        <v>456</v>
      </c>
    </row>
    <row r="4" spans="1:8" ht="12.75">
      <c r="A4" s="13">
        <v>2</v>
      </c>
      <c r="B4" s="14" t="s">
        <v>66</v>
      </c>
      <c r="D4" s="13">
        <v>2</v>
      </c>
      <c r="E4" s="14">
        <v>375</v>
      </c>
      <c r="G4" s="13">
        <v>2</v>
      </c>
      <c r="H4" s="14">
        <v>482</v>
      </c>
    </row>
    <row r="5" spans="1:8" ht="12.75">
      <c r="A5" s="13">
        <v>3</v>
      </c>
      <c r="B5" s="14" t="s">
        <v>67</v>
      </c>
      <c r="D5" s="13">
        <v>3</v>
      </c>
      <c r="E5" s="14">
        <v>388</v>
      </c>
      <c r="G5" s="13">
        <v>3</v>
      </c>
      <c r="H5" s="14">
        <v>506</v>
      </c>
    </row>
    <row r="6" spans="1:8" ht="12.75">
      <c r="A6" s="13">
        <v>4</v>
      </c>
      <c r="B6" s="14" t="s">
        <v>68</v>
      </c>
      <c r="D6" s="13">
        <v>4</v>
      </c>
      <c r="E6" s="14">
        <v>407</v>
      </c>
      <c r="G6" s="13">
        <v>4</v>
      </c>
      <c r="H6" s="14">
        <v>550</v>
      </c>
    </row>
    <row r="7" spans="1:8" ht="12.75">
      <c r="A7" s="13">
        <v>5</v>
      </c>
      <c r="B7" s="14" t="s">
        <v>69</v>
      </c>
      <c r="D7" s="13">
        <v>5</v>
      </c>
      <c r="E7" s="14">
        <v>430</v>
      </c>
      <c r="G7" s="13">
        <v>5</v>
      </c>
      <c r="H7" s="14">
        <v>584</v>
      </c>
    </row>
    <row r="8" spans="1:8" ht="12.75">
      <c r="A8" s="15">
        <v>6</v>
      </c>
      <c r="B8" s="16" t="s">
        <v>70</v>
      </c>
      <c r="D8" s="13">
        <v>6</v>
      </c>
      <c r="E8" s="14">
        <v>460</v>
      </c>
      <c r="G8" s="13">
        <v>6</v>
      </c>
      <c r="H8" s="14">
        <v>625</v>
      </c>
    </row>
    <row r="9" spans="4:8" ht="12.75">
      <c r="D9" s="13">
        <v>7</v>
      </c>
      <c r="E9" s="14">
        <v>495</v>
      </c>
      <c r="G9" s="15">
        <v>7</v>
      </c>
      <c r="H9" s="16">
        <v>672</v>
      </c>
    </row>
    <row r="10" spans="4:5" ht="12.75">
      <c r="D10" s="13">
        <v>8</v>
      </c>
      <c r="E10" s="14">
        <v>523</v>
      </c>
    </row>
    <row r="11" spans="1:8" ht="12.75">
      <c r="A11" s="38" t="s">
        <v>37</v>
      </c>
      <c r="B11" s="38"/>
      <c r="D11" s="13">
        <v>9</v>
      </c>
      <c r="E11" s="14">
        <v>544</v>
      </c>
      <c r="G11" s="38" t="s">
        <v>64</v>
      </c>
      <c r="H11" s="38"/>
    </row>
    <row r="12" spans="1:8" ht="12.75">
      <c r="A12" s="11">
        <v>1</v>
      </c>
      <c r="B12" s="18">
        <v>1</v>
      </c>
      <c r="D12" s="13">
        <v>10</v>
      </c>
      <c r="E12" s="14">
        <v>583</v>
      </c>
      <c r="G12" s="11">
        <v>1</v>
      </c>
      <c r="H12" s="12">
        <v>705</v>
      </c>
    </row>
    <row r="13" spans="1:8" ht="12.75">
      <c r="A13" s="13">
        <v>2</v>
      </c>
      <c r="B13" s="19">
        <v>0.9142857142857143</v>
      </c>
      <c r="D13" s="13">
        <v>11</v>
      </c>
      <c r="E13" s="14">
        <v>625</v>
      </c>
      <c r="G13" s="13">
        <v>2</v>
      </c>
      <c r="H13" s="14">
        <v>745</v>
      </c>
    </row>
    <row r="14" spans="1:8" ht="12.75">
      <c r="A14" s="13">
        <v>3</v>
      </c>
      <c r="B14" s="19">
        <v>0.8571428571428571</v>
      </c>
      <c r="D14" s="15">
        <v>12</v>
      </c>
      <c r="E14" s="16">
        <v>641</v>
      </c>
      <c r="G14" s="15">
        <v>3</v>
      </c>
      <c r="H14" s="16">
        <v>782</v>
      </c>
    </row>
    <row r="15" spans="1:2" ht="12.75">
      <c r="A15" s="13">
        <v>4</v>
      </c>
      <c r="B15" s="19">
        <v>0.7</v>
      </c>
    </row>
    <row r="16" spans="1:5" ht="12.75">
      <c r="A16" s="13">
        <v>5</v>
      </c>
      <c r="B16" s="19">
        <v>0.6</v>
      </c>
      <c r="D16" s="38" t="s">
        <v>48</v>
      </c>
      <c r="E16" s="38"/>
    </row>
    <row r="17" spans="1:5" ht="12.75">
      <c r="A17" s="15">
        <v>6</v>
      </c>
      <c r="B17" s="20">
        <v>0.5</v>
      </c>
      <c r="D17" s="11">
        <v>1</v>
      </c>
      <c r="E17" s="12">
        <v>641</v>
      </c>
    </row>
    <row r="18" spans="4:5" ht="12.75">
      <c r="D18" s="15">
        <v>2</v>
      </c>
      <c r="E18" s="16">
        <v>672</v>
      </c>
    </row>
    <row r="19" spans="1:2" ht="12.75">
      <c r="A19" s="38" t="s">
        <v>38</v>
      </c>
      <c r="B19" s="38"/>
    </row>
    <row r="20" spans="1:5" ht="12.75">
      <c r="A20" s="11">
        <v>1</v>
      </c>
      <c r="B20" s="21" t="s">
        <v>39</v>
      </c>
      <c r="D20" s="38" t="s">
        <v>49</v>
      </c>
      <c r="E20" s="38"/>
    </row>
    <row r="21" spans="1:5" ht="12.75">
      <c r="A21" s="13">
        <v>2</v>
      </c>
      <c r="B21" s="22" t="s">
        <v>40</v>
      </c>
      <c r="D21" s="11">
        <v>1</v>
      </c>
      <c r="E21" s="12">
        <v>733</v>
      </c>
    </row>
    <row r="22" spans="1:5" ht="12.75">
      <c r="A22" s="13">
        <v>3</v>
      </c>
      <c r="B22" s="22" t="s">
        <v>41</v>
      </c>
      <c r="D22" s="15">
        <v>2</v>
      </c>
      <c r="E22" s="16">
        <v>797</v>
      </c>
    </row>
    <row r="23" spans="1:2" ht="12.75">
      <c r="A23" s="13">
        <v>4</v>
      </c>
      <c r="B23" s="22" t="s">
        <v>42</v>
      </c>
    </row>
    <row r="24" spans="1:2" ht="12.75">
      <c r="A24" s="13">
        <v>5</v>
      </c>
      <c r="B24" s="22" t="s">
        <v>43</v>
      </c>
    </row>
    <row r="25" spans="1:2" ht="12.75">
      <c r="A25" s="15">
        <v>6</v>
      </c>
      <c r="B25" s="23" t="s">
        <v>44</v>
      </c>
    </row>
  </sheetData>
  <sheetProtection password="C8E4" sheet="1" objects="1" scenarios="1"/>
  <mergeCells count="8">
    <mergeCell ref="G2:H2"/>
    <mergeCell ref="G11:H11"/>
    <mergeCell ref="D20:E20"/>
    <mergeCell ref="A2:B2"/>
    <mergeCell ref="D2:E2"/>
    <mergeCell ref="D16:E16"/>
    <mergeCell ref="A11:B11"/>
    <mergeCell ref="A19:B1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per2</dc:creator>
  <cp:keywords/>
  <dc:description/>
  <cp:lastModifiedBy>DGCP</cp:lastModifiedBy>
  <cp:lastPrinted>2005-07-12T07:54:35Z</cp:lastPrinted>
  <dcterms:created xsi:type="dcterms:W3CDTF">2000-09-29T08:42:30Z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